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25FY\"/>
    </mc:Choice>
  </mc:AlternateContent>
  <xr:revisionPtr revIDLastSave="0" documentId="13_ncr:1_{08DCB394-F352-4B45-B7BE-B9ECFCC9466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ummary" sheetId="1" r:id="rId1"/>
    <sheet name="Video Lottery" sheetId="3" r:id="rId2"/>
    <sheet name="Table Games" sheetId="2" r:id="rId3"/>
  </sheets>
  <definedNames>
    <definedName name="_xlnm.Print_Area" localSheetId="0">Summary!$A$1:$N$25</definedName>
    <definedName name="_xlnm.Print_Area" localSheetId="2">'Table Games'!$A$1:$L$22</definedName>
    <definedName name="_xlnm.Print_Area" localSheetId="1">'Video Lottery'!$A$1:$M$22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7" i="2" l="1"/>
  <c r="K17" i="2"/>
  <c r="G17" i="2"/>
  <c r="M17" i="3"/>
  <c r="L17" i="3"/>
  <c r="C17" i="3"/>
  <c r="A17" i="2"/>
  <c r="A17" i="3"/>
  <c r="G20" i="1"/>
  <c r="C20" i="1"/>
  <c r="B20" i="1"/>
  <c r="C17" i="2"/>
  <c r="D17" i="2" s="1"/>
  <c r="E17" i="3"/>
  <c r="F20" i="1" s="1"/>
  <c r="G19" i="1"/>
  <c r="C19" i="1"/>
  <c r="B19" i="1"/>
  <c r="C16" i="3"/>
  <c r="C16" i="2"/>
  <c r="A16" i="2"/>
  <c r="A16" i="3"/>
  <c r="C15" i="3"/>
  <c r="D15" i="3" s="1"/>
  <c r="A15" i="2"/>
  <c r="A15" i="3"/>
  <c r="G18" i="1"/>
  <c r="C18" i="1"/>
  <c r="B18" i="1"/>
  <c r="C15" i="2"/>
  <c r="C14" i="3"/>
  <c r="D14" i="3" s="1"/>
  <c r="A14" i="2"/>
  <c r="A14" i="3"/>
  <c r="G17" i="1"/>
  <c r="C17" i="1"/>
  <c r="B17" i="1"/>
  <c r="C14" i="2"/>
  <c r="D14" i="2" s="1"/>
  <c r="C13" i="3"/>
  <c r="D13" i="3" s="1"/>
  <c r="G16" i="1"/>
  <c r="C16" i="1"/>
  <c r="B16" i="1"/>
  <c r="C13" i="2"/>
  <c r="C12" i="2"/>
  <c r="G15" i="1"/>
  <c r="C15" i="1"/>
  <c r="B15" i="1"/>
  <c r="C12" i="3"/>
  <c r="D12" i="3" s="1"/>
  <c r="C11" i="2"/>
  <c r="C11" i="3"/>
  <c r="G14" i="1"/>
  <c r="C14" i="1"/>
  <c r="B14" i="1"/>
  <c r="A10" i="2"/>
  <c r="A10" i="3"/>
  <c r="G13" i="1"/>
  <c r="C10" i="2"/>
  <c r="C10" i="3"/>
  <c r="B12" i="1"/>
  <c r="C9" i="3"/>
  <c r="A9" i="2"/>
  <c r="A9" i="3"/>
  <c r="G12" i="1"/>
  <c r="C8" i="3"/>
  <c r="D20" i="1" l="1"/>
  <c r="F17" i="2"/>
  <c r="D19" i="1"/>
  <c r="D17" i="3"/>
  <c r="D16" i="2"/>
  <c r="F16" i="2" s="1"/>
  <c r="E16" i="3"/>
  <c r="F19" i="1" s="1"/>
  <c r="D16" i="3"/>
  <c r="E19" i="1" s="1"/>
  <c r="D18" i="1"/>
  <c r="D15" i="2"/>
  <c r="F15" i="2" s="1"/>
  <c r="E15" i="3"/>
  <c r="F18" i="1" s="1"/>
  <c r="E17" i="1"/>
  <c r="D17" i="1"/>
  <c r="F14" i="2"/>
  <c r="E14" i="3"/>
  <c r="D16" i="1"/>
  <c r="D13" i="2"/>
  <c r="F13" i="2" s="1"/>
  <c r="E13" i="3"/>
  <c r="F16" i="1" s="1"/>
  <c r="D15" i="1"/>
  <c r="D12" i="2"/>
  <c r="F12" i="2" s="1"/>
  <c r="E12" i="3"/>
  <c r="D14" i="1"/>
  <c r="D11" i="2"/>
  <c r="F11" i="2" s="1"/>
  <c r="D11" i="3"/>
  <c r="E11" i="3"/>
  <c r="F14" i="1" s="1"/>
  <c r="C13" i="1"/>
  <c r="D13" i="1"/>
  <c r="B13" i="1"/>
  <c r="D10" i="2"/>
  <c r="F10" i="2" s="1"/>
  <c r="D10" i="3"/>
  <c r="E10" i="3"/>
  <c r="F13" i="1" s="1"/>
  <c r="C9" i="2"/>
  <c r="D12" i="1" s="1"/>
  <c r="D9" i="3"/>
  <c r="C12" i="1"/>
  <c r="E9" i="3"/>
  <c r="A8" i="2"/>
  <c r="A8" i="3"/>
  <c r="G11" i="1"/>
  <c r="C11" i="1"/>
  <c r="B11" i="1"/>
  <c r="C8" i="2"/>
  <c r="D8" i="2" s="1"/>
  <c r="D8" i="3"/>
  <c r="C7" i="3"/>
  <c r="D7" i="3" s="1"/>
  <c r="G10" i="1"/>
  <c r="C10" i="1"/>
  <c r="B10" i="1"/>
  <c r="C7" i="2"/>
  <c r="C6" i="3"/>
  <c r="J17" i="2" l="1"/>
  <c r="G17" i="3"/>
  <c r="I17" i="3" s="1"/>
  <c r="E20" i="1"/>
  <c r="J16" i="2"/>
  <c r="G16" i="2"/>
  <c r="L16" i="2"/>
  <c r="K16" i="2"/>
  <c r="H17" i="2"/>
  <c r="I17" i="2"/>
  <c r="J17" i="3"/>
  <c r="K20" i="1" s="1"/>
  <c r="G16" i="3"/>
  <c r="I16" i="2"/>
  <c r="H16" i="2"/>
  <c r="L15" i="2"/>
  <c r="K15" i="2"/>
  <c r="J15" i="2"/>
  <c r="G15" i="2"/>
  <c r="E18" i="1"/>
  <c r="G15" i="3"/>
  <c r="I15" i="2"/>
  <c r="H15" i="2"/>
  <c r="K14" i="2"/>
  <c r="L14" i="2"/>
  <c r="J14" i="2"/>
  <c r="G14" i="2"/>
  <c r="G14" i="3"/>
  <c r="F17" i="1"/>
  <c r="I14" i="2"/>
  <c r="H14" i="2"/>
  <c r="J13" i="2"/>
  <c r="G13" i="2"/>
  <c r="K13" i="2"/>
  <c r="L13" i="2"/>
  <c r="E16" i="1"/>
  <c r="G13" i="3"/>
  <c r="I13" i="2"/>
  <c r="H13" i="2"/>
  <c r="G12" i="2"/>
  <c r="J12" i="2"/>
  <c r="K12" i="2"/>
  <c r="L12" i="2"/>
  <c r="E15" i="1"/>
  <c r="G12" i="3"/>
  <c r="F15" i="1"/>
  <c r="H12" i="2"/>
  <c r="I12" i="2"/>
  <c r="L11" i="2"/>
  <c r="K11" i="2"/>
  <c r="G11" i="2"/>
  <c r="E14" i="1"/>
  <c r="J11" i="2"/>
  <c r="I11" i="2"/>
  <c r="H11" i="2"/>
  <c r="G11" i="3"/>
  <c r="H11" i="3" s="1"/>
  <c r="E13" i="1"/>
  <c r="G10" i="2"/>
  <c r="L10" i="2"/>
  <c r="K10" i="2"/>
  <c r="J10" i="2"/>
  <c r="I10" i="2"/>
  <c r="H10" i="2"/>
  <c r="G10" i="3"/>
  <c r="D9" i="2"/>
  <c r="F9" i="2" s="1"/>
  <c r="G9" i="3"/>
  <c r="F12" i="1"/>
  <c r="E11" i="1"/>
  <c r="D11" i="1"/>
  <c r="F8" i="2"/>
  <c r="E8" i="3"/>
  <c r="D10" i="1"/>
  <c r="D7" i="2"/>
  <c r="F7" i="2" s="1"/>
  <c r="E7" i="3"/>
  <c r="B19" i="3"/>
  <c r="J20" i="1" l="1"/>
  <c r="K17" i="3"/>
  <c r="L20" i="1" s="1"/>
  <c r="N20" i="1"/>
  <c r="H20" i="1"/>
  <c r="M20" i="1"/>
  <c r="H17" i="3"/>
  <c r="I20" i="1" s="1"/>
  <c r="I16" i="3"/>
  <c r="J19" i="1" s="1"/>
  <c r="M16" i="3"/>
  <c r="N19" i="1" s="1"/>
  <c r="L16" i="3"/>
  <c r="M19" i="1" s="1"/>
  <c r="H16" i="3"/>
  <c r="I19" i="1" s="1"/>
  <c r="H19" i="1"/>
  <c r="J16" i="3"/>
  <c r="K19" i="1" s="1"/>
  <c r="K16" i="3"/>
  <c r="L19" i="1" s="1"/>
  <c r="I15" i="3"/>
  <c r="J18" i="1" s="1"/>
  <c r="K15" i="3"/>
  <c r="L18" i="1" s="1"/>
  <c r="L15" i="3"/>
  <c r="M18" i="1" s="1"/>
  <c r="M15" i="3"/>
  <c r="N18" i="1" s="1"/>
  <c r="H15" i="3"/>
  <c r="I18" i="1" s="1"/>
  <c r="J15" i="3"/>
  <c r="K18" i="1" s="1"/>
  <c r="H18" i="1"/>
  <c r="I14" i="3"/>
  <c r="J17" i="1" s="1"/>
  <c r="M14" i="3"/>
  <c r="N17" i="1" s="1"/>
  <c r="J14" i="3"/>
  <c r="K17" i="1" s="1"/>
  <c r="H17" i="1"/>
  <c r="H14" i="3"/>
  <c r="I17" i="1" s="1"/>
  <c r="L14" i="3"/>
  <c r="M17" i="1" s="1"/>
  <c r="K14" i="3"/>
  <c r="L17" i="1" s="1"/>
  <c r="J13" i="3"/>
  <c r="K16" i="1" s="1"/>
  <c r="M13" i="3"/>
  <c r="N16" i="1" s="1"/>
  <c r="L13" i="3"/>
  <c r="M16" i="1" s="1"/>
  <c r="K13" i="3"/>
  <c r="L16" i="1" s="1"/>
  <c r="H13" i="3"/>
  <c r="I16" i="1" s="1"/>
  <c r="I13" i="3"/>
  <c r="J16" i="1" s="1"/>
  <c r="H16" i="1"/>
  <c r="I12" i="3"/>
  <c r="J15" i="1" s="1"/>
  <c r="K12" i="3"/>
  <c r="L15" i="1" s="1"/>
  <c r="H12" i="3"/>
  <c r="I15" i="1" s="1"/>
  <c r="L12" i="3"/>
  <c r="M15" i="1" s="1"/>
  <c r="M12" i="3"/>
  <c r="N15" i="1" s="1"/>
  <c r="J12" i="3"/>
  <c r="K15" i="1" s="1"/>
  <c r="H15" i="1"/>
  <c r="L11" i="3"/>
  <c r="M14" i="1" s="1"/>
  <c r="M11" i="3"/>
  <c r="N14" i="1" s="1"/>
  <c r="K11" i="3"/>
  <c r="L14" i="1" s="1"/>
  <c r="I14" i="1"/>
  <c r="H14" i="1"/>
  <c r="I11" i="3"/>
  <c r="J14" i="1" s="1"/>
  <c r="J11" i="3"/>
  <c r="K14" i="1" s="1"/>
  <c r="I10" i="3"/>
  <c r="J13" i="1" s="1"/>
  <c r="M10" i="3"/>
  <c r="N13" i="1" s="1"/>
  <c r="L10" i="3"/>
  <c r="M13" i="1" s="1"/>
  <c r="H10" i="3"/>
  <c r="I13" i="1" s="1"/>
  <c r="K10" i="3"/>
  <c r="L13" i="1" s="1"/>
  <c r="H13" i="1"/>
  <c r="J10" i="3"/>
  <c r="K13" i="1" s="1"/>
  <c r="M9" i="3"/>
  <c r="L9" i="3"/>
  <c r="K9" i="3"/>
  <c r="L9" i="2"/>
  <c r="K9" i="2"/>
  <c r="J9" i="2"/>
  <c r="J9" i="3"/>
  <c r="H9" i="3"/>
  <c r="H9" i="2"/>
  <c r="I9" i="2"/>
  <c r="E12" i="1"/>
  <c r="G9" i="2"/>
  <c r="I9" i="3"/>
  <c r="H12" i="1"/>
  <c r="L8" i="2"/>
  <c r="K8" i="2"/>
  <c r="J8" i="2"/>
  <c r="G8" i="2"/>
  <c r="G8" i="3"/>
  <c r="I8" i="3" s="1"/>
  <c r="F11" i="1"/>
  <c r="L7" i="2"/>
  <c r="K7" i="2"/>
  <c r="J7" i="2"/>
  <c r="G7" i="2"/>
  <c r="I8" i="2"/>
  <c r="H8" i="2"/>
  <c r="E10" i="1"/>
  <c r="G7" i="3"/>
  <c r="F10" i="1"/>
  <c r="I7" i="2"/>
  <c r="H7" i="2"/>
  <c r="C6" i="2"/>
  <c r="M12" i="1" l="1"/>
  <c r="N12" i="1"/>
  <c r="J12" i="1"/>
  <c r="I12" i="1"/>
  <c r="K12" i="1"/>
  <c r="L12" i="1"/>
  <c r="K8" i="3"/>
  <c r="L11" i="1" s="1"/>
  <c r="L8" i="3"/>
  <c r="M11" i="1" s="1"/>
  <c r="M8" i="3"/>
  <c r="N11" i="1" s="1"/>
  <c r="H11" i="1"/>
  <c r="H8" i="3"/>
  <c r="I11" i="1" s="1"/>
  <c r="J11" i="1"/>
  <c r="J8" i="3"/>
  <c r="K11" i="1" s="1"/>
  <c r="J7" i="3"/>
  <c r="K10" i="1" s="1"/>
  <c r="K7" i="3"/>
  <c r="L10" i="1" s="1"/>
  <c r="H7" i="3"/>
  <c r="I10" i="1" s="1"/>
  <c r="M7" i="3"/>
  <c r="N10" i="1" s="1"/>
  <c r="L7" i="3"/>
  <c r="M10" i="1" s="1"/>
  <c r="H10" i="1"/>
  <c r="I7" i="3"/>
  <c r="J10" i="1" s="1"/>
  <c r="D6" i="3"/>
  <c r="E19" i="2" l="1"/>
  <c r="B19" i="2"/>
  <c r="G9" i="1" l="1"/>
  <c r="C9" i="1"/>
  <c r="B9" i="1"/>
  <c r="B22" i="1" s="1"/>
  <c r="E6" i="3"/>
  <c r="G6" i="3" s="1"/>
  <c r="K6" i="3" l="1"/>
  <c r="M6" i="3"/>
  <c r="L6" i="3"/>
  <c r="H6" i="3"/>
  <c r="D9" i="1"/>
  <c r="C19" i="2"/>
  <c r="F9" i="1"/>
  <c r="D6" i="2"/>
  <c r="J6" i="3"/>
  <c r="I6" i="3"/>
  <c r="D19" i="2" l="1"/>
  <c r="F6" i="2"/>
  <c r="E9" i="1"/>
  <c r="L6" i="2" l="1"/>
  <c r="L19" i="2" s="1"/>
  <c r="K6" i="2"/>
  <c r="K19" i="2" s="1"/>
  <c r="J6" i="2"/>
  <c r="J19" i="2" s="1"/>
  <c r="G6" i="2"/>
  <c r="G19" i="2" s="1"/>
  <c r="H9" i="1"/>
  <c r="F19" i="2"/>
  <c r="I6" i="2"/>
  <c r="H6" i="2"/>
  <c r="N9" i="1" l="1"/>
  <c r="K9" i="1"/>
  <c r="I19" i="2"/>
  <c r="L9" i="1"/>
  <c r="I9" i="1"/>
  <c r="J9" i="1"/>
  <c r="H19" i="2"/>
  <c r="M9" i="1"/>
  <c r="G22" i="1"/>
  <c r="C22" i="1"/>
  <c r="C19" i="3"/>
  <c r="F19" i="3"/>
  <c r="D19" i="3" l="1"/>
  <c r="F22" i="1"/>
  <c r="D22" i="1"/>
  <c r="E19" i="3" l="1"/>
  <c r="E22" i="1"/>
  <c r="M19" i="3" l="1"/>
  <c r="L19" i="3"/>
  <c r="H19" i="3"/>
  <c r="K19" i="3"/>
  <c r="J19" i="3"/>
  <c r="G19" i="3"/>
  <c r="I19" i="3"/>
  <c r="H22" i="1"/>
  <c r="M22" i="1" l="1"/>
  <c r="K22" i="1"/>
  <c r="I22" i="1"/>
  <c r="L22" i="1"/>
  <c r="J22" i="1"/>
  <c r="N22" i="1"/>
</calcChain>
</file>

<file path=xl/sharedStrings.xml><?xml version="1.0" encoding="utf-8"?>
<sst xmlns="http://schemas.openxmlformats.org/spreadsheetml/2006/main" count="69" uniqueCount="37">
  <si>
    <t>Table
Games</t>
  </si>
  <si>
    <t>Video
Lottery</t>
  </si>
  <si>
    <t>State
Share</t>
  </si>
  <si>
    <t>Excess
Lottery
Fund</t>
  </si>
  <si>
    <t>Interest</t>
  </si>
  <si>
    <t>White
Sulphur
Springs</t>
  </si>
  <si>
    <t>Municipalities
In Greenbrier
County</t>
  </si>
  <si>
    <t>All Other
Counties *</t>
  </si>
  <si>
    <t>All Other
Municipalities *</t>
  </si>
  <si>
    <t>WEST VIRGINIA LOTTERY</t>
  </si>
  <si>
    <t>Gross
Receipts</t>
  </si>
  <si>
    <t>*  To get an even distribution amount there will be cents carried forward to each month.</t>
  </si>
  <si>
    <t>Admin
Expense</t>
  </si>
  <si>
    <t>Gross
Revenue</t>
  </si>
  <si>
    <t>Net
Revenue</t>
  </si>
  <si>
    <t>Net 
Receipts</t>
  </si>
  <si>
    <t>Net
Receipts / 
Net Revenue</t>
  </si>
  <si>
    <t>GREENBRIER HISTORIC RESORT MONTHLY DISTRIBUTION SUMMARY</t>
  </si>
  <si>
    <t>Greenbrier
County</t>
  </si>
  <si>
    <t>All Other
Counties (54) *</t>
  </si>
  <si>
    <t>Municipalities
In Greenbrier
County (7) *</t>
  </si>
  <si>
    <t>July 2024</t>
  </si>
  <si>
    <t>FY 2024</t>
  </si>
  <si>
    <t>FISCAL YEAR 2025</t>
  </si>
  <si>
    <t>August 2024</t>
  </si>
  <si>
    <t>September 2024</t>
  </si>
  <si>
    <t>October 2024</t>
  </si>
  <si>
    <t>November 2024</t>
  </si>
  <si>
    <t>December 2024</t>
  </si>
  <si>
    <t>January 2025</t>
  </si>
  <si>
    <t>February 2025</t>
  </si>
  <si>
    <t>All Other
Municipalities (221) *</t>
  </si>
  <si>
    <t>March 2025</t>
  </si>
  <si>
    <t>April 2025</t>
  </si>
  <si>
    <t>May 2025</t>
  </si>
  <si>
    <t>FOR THE MONTH ENDING JUNE 30, 2025</t>
  </si>
  <si>
    <t>June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</si>
</sst>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3" fillId="0" borderId="0" xfId="0" applyFont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17" fontId="0" fillId="0" borderId="0" xfId="0" quotePrefix="1" applyNumberFormat="1"/>
    <xf numFmtId="44" fontId="0" fillId="0" borderId="0" xfId="1" applyFont="1"/>
    <xf numFmtId="44" fontId="0" fillId="0" borderId="2" xfId="1" applyFont="1" applyBorder="1"/>
    <xf numFmtId="0" fontId="5" fillId="0" borderId="0" xfId="0" applyFont="1"/>
    <xf numFmtId="0" fontId="0" fillId="0" borderId="0" xfId="0" quotePrefix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4"/>
  <sheetViews>
    <sheetView tabSelected="1" workbookViewId="0">
      <selection activeCell="A21" sqref="A21"/>
    </sheetView>
  </sheetViews>
  <sheetFormatPr defaultRowHeight="15" customHeight="1" x14ac:dyDescent="0.2"/>
  <cols>
    <col min="1" max="1" width="16.140625" style="1" customWidth="1"/>
    <col min="2" max="3" width="14.28515625" style="1" bestFit="1" customWidth="1"/>
    <col min="4" max="4" width="14.85546875" style="1" customWidth="1"/>
    <col min="5" max="5" width="13" style="1" customWidth="1"/>
    <col min="6" max="7" width="11.7109375" style="1" customWidth="1"/>
    <col min="8" max="8" width="15.140625" style="1" customWidth="1"/>
    <col min="9" max="9" width="14.7109375" style="1" customWidth="1"/>
    <col min="10" max="10" width="13.28515625" style="1" customWidth="1"/>
    <col min="11" max="11" width="11.7109375" style="1" customWidth="1"/>
    <col min="12" max="12" width="13.7109375" style="1" bestFit="1" customWidth="1"/>
    <col min="13" max="13" width="11.7109375" style="1" customWidth="1"/>
    <col min="14" max="14" width="15.140625" style="1" bestFit="1" customWidth="1"/>
    <col min="15" max="16384" width="9.140625" style="1"/>
  </cols>
  <sheetData>
    <row r="1" spans="1:14" ht="18.75" x14ac:dyDescent="0.3">
      <c r="A1" s="9" t="s">
        <v>9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5.75" x14ac:dyDescent="0.25">
      <c r="A2" s="10" t="s">
        <v>17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.75" x14ac:dyDescent="0.25">
      <c r="A3" s="10" t="s">
        <v>35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.75" x14ac:dyDescent="0.25">
      <c r="A4" s="10" t="s">
        <v>23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7" spans="1:14" customFormat="1" ht="45" x14ac:dyDescent="0.25">
      <c r="B7" s="2" t="s">
        <v>0</v>
      </c>
      <c r="C7" s="2" t="s">
        <v>1</v>
      </c>
      <c r="D7" s="2" t="s">
        <v>2</v>
      </c>
      <c r="E7" s="2" t="s">
        <v>12</v>
      </c>
      <c r="F7" s="2" t="s">
        <v>3</v>
      </c>
      <c r="G7" s="3" t="s">
        <v>4</v>
      </c>
      <c r="H7" s="2" t="s">
        <v>16</v>
      </c>
      <c r="I7" s="2" t="s">
        <v>3</v>
      </c>
      <c r="J7" s="2" t="s">
        <v>18</v>
      </c>
      <c r="K7" s="2" t="s">
        <v>5</v>
      </c>
      <c r="L7" s="2" t="s">
        <v>20</v>
      </c>
      <c r="M7" s="2" t="s">
        <v>19</v>
      </c>
      <c r="N7" s="2" t="s">
        <v>31</v>
      </c>
    </row>
    <row r="8" spans="1:14" customFormat="1" ht="15" customHeight="1" x14ac:dyDescent="0.25"/>
    <row r="9" spans="1:14" customFormat="1" ht="15" customHeight="1" x14ac:dyDescent="0.25">
      <c r="A9" s="4" t="s">
        <v>21</v>
      </c>
      <c r="B9" s="5">
        <f>'Table Games'!B6</f>
        <v>534511.75</v>
      </c>
      <c r="C9" s="5">
        <f>'Video Lottery'!B6</f>
        <v>280610.77999999991</v>
      </c>
      <c r="D9" s="5">
        <f>'Table Games'!C6+'Video Lottery'!C6</f>
        <v>261373.40000000002</v>
      </c>
      <c r="E9" s="5">
        <f>'Table Games'!D6+'Video Lottery'!D6</f>
        <v>39206.009999999995</v>
      </c>
      <c r="F9" s="5">
        <f>'Video Lottery'!E6</f>
        <v>2525.5</v>
      </c>
      <c r="G9" s="5">
        <f>'Table Games'!E6+'Video Lottery'!F6</f>
        <v>5476.5</v>
      </c>
      <c r="H9" s="5">
        <f>'Table Games'!F6+'Video Lottery'!G6</f>
        <v>225118.39</v>
      </c>
      <c r="I9" s="5">
        <f>'Table Games'!G6+'Video Lottery'!H6</f>
        <v>193601.81</v>
      </c>
      <c r="J9" s="5">
        <f>'Table Games'!H6+'Video Lottery'!I6</f>
        <v>9004.74</v>
      </c>
      <c r="K9" s="5">
        <f>'Table Games'!I6+'Video Lottery'!J6</f>
        <v>5627.9599999999991</v>
      </c>
      <c r="L9" s="5">
        <f>'Table Games'!J6+'Video Lottery'!K6</f>
        <v>5627.9299999999994</v>
      </c>
      <c r="M9" s="5">
        <f>'Table Games'!K6+'Video Lottery'!L6</f>
        <v>5628.4199999999992</v>
      </c>
      <c r="N9" s="5">
        <f>'Table Games'!L6+'Video Lottery'!M6</f>
        <v>5628.869999999999</v>
      </c>
    </row>
    <row r="10" spans="1:14" customFormat="1" ht="15" customHeight="1" x14ac:dyDescent="0.25">
      <c r="A10" s="4" t="s">
        <v>24</v>
      </c>
      <c r="B10" s="5">
        <f>'Table Games'!B7</f>
        <v>393664.75</v>
      </c>
      <c r="C10" s="5">
        <f>'Video Lottery'!B7</f>
        <v>265285.86</v>
      </c>
      <c r="D10" s="5">
        <f>'Table Games'!C7+'Video Lottery'!C7</f>
        <v>213602.31</v>
      </c>
      <c r="E10" s="5">
        <f>'Table Games'!D7+'Video Lottery'!D7</f>
        <v>32040.34</v>
      </c>
      <c r="F10" s="5">
        <f>'Video Lottery'!E7</f>
        <v>2387.5700000000002</v>
      </c>
      <c r="G10" s="5">
        <f>'Table Games'!E7+'Video Lottery'!F7</f>
        <v>6086.0300000000007</v>
      </c>
      <c r="H10" s="5">
        <f>'Table Games'!F7+'Video Lottery'!G7</f>
        <v>185260.43</v>
      </c>
      <c r="I10" s="5">
        <f>'Table Games'!G7+'Video Lottery'!H7</f>
        <v>159323.96999999997</v>
      </c>
      <c r="J10" s="5">
        <f>'Table Games'!H7+'Video Lottery'!I7</f>
        <v>7410.42</v>
      </c>
      <c r="K10" s="5">
        <f>'Table Games'!I7+'Video Lottery'!J7</f>
        <v>4631.51</v>
      </c>
      <c r="L10" s="5">
        <f>'Table Games'!J7+'Video Lottery'!K7</f>
        <v>4631.55</v>
      </c>
      <c r="M10" s="5">
        <f>'Table Games'!K7+'Video Lottery'!L7</f>
        <v>4631.04</v>
      </c>
      <c r="N10" s="5">
        <f>'Table Games'!L7+'Video Lottery'!M7</f>
        <v>4632.16</v>
      </c>
    </row>
    <row r="11" spans="1:14" customFormat="1" ht="15" customHeight="1" x14ac:dyDescent="0.25">
      <c r="A11" s="4" t="s">
        <v>25</v>
      </c>
      <c r="B11" s="5">
        <f>'Table Games'!B8</f>
        <v>302878.5</v>
      </c>
      <c r="C11" s="5">
        <f>'Video Lottery'!B8</f>
        <v>216664.73</v>
      </c>
      <c r="D11" s="5">
        <f>'Table Games'!C8+'Video Lottery'!C8</f>
        <v>168862.83000000002</v>
      </c>
      <c r="E11" s="5">
        <f>'Table Games'!D8+'Video Lottery'!D8</f>
        <v>25329.42</v>
      </c>
      <c r="F11" s="5">
        <f>'Video Lottery'!E8</f>
        <v>1949.98</v>
      </c>
      <c r="G11" s="5">
        <f>'Table Games'!E8+'Video Lottery'!F8</f>
        <v>4312.4799999999996</v>
      </c>
      <c r="H11" s="5">
        <f>'Table Games'!F8+'Video Lottery'!G8</f>
        <v>145895.91</v>
      </c>
      <c r="I11" s="5">
        <f>'Table Games'!G8+'Video Lottery'!H8</f>
        <v>125470.47</v>
      </c>
      <c r="J11" s="5">
        <f>'Table Games'!H8+'Video Lottery'!I8</f>
        <v>5835.84</v>
      </c>
      <c r="K11" s="5">
        <f>'Table Games'!I8+'Video Lottery'!J8</f>
        <v>3647.4</v>
      </c>
      <c r="L11" s="5">
        <f>'Table Games'!J8+'Video Lottery'!K8</f>
        <v>3647.3500000000004</v>
      </c>
      <c r="M11" s="5">
        <f>'Table Games'!K8+'Video Lottery'!L8</f>
        <v>3647.7000000000003</v>
      </c>
      <c r="N11" s="5">
        <f>'Table Games'!L8+'Video Lottery'!M8</f>
        <v>3646.5</v>
      </c>
    </row>
    <row r="12" spans="1:14" customFormat="1" ht="15" customHeight="1" x14ac:dyDescent="0.25">
      <c r="A12" s="4" t="s">
        <v>26</v>
      </c>
      <c r="B12" s="5">
        <f>'Table Games'!B9</f>
        <v>254876.25</v>
      </c>
      <c r="C12" s="5">
        <f>'Video Lottery'!B9</f>
        <v>210647.80000000005</v>
      </c>
      <c r="D12" s="5">
        <f>'Table Games'!C9+'Video Lottery'!C9</f>
        <v>152296.07</v>
      </c>
      <c r="E12" s="5">
        <f>'Table Games'!D9+'Video Lottery'!D9</f>
        <v>22844.41</v>
      </c>
      <c r="F12" s="5">
        <f>'Video Lottery'!E9</f>
        <v>1895.83</v>
      </c>
      <c r="G12" s="5">
        <f>'Table Games'!E9+'Video Lottery'!F9</f>
        <v>4275.4799999999996</v>
      </c>
      <c r="H12" s="5">
        <f>'Table Games'!F9+'Video Lottery'!G9</f>
        <v>131831.31</v>
      </c>
      <c r="I12" s="5">
        <f>'Table Games'!G9+'Video Lottery'!H9</f>
        <v>113374.94</v>
      </c>
      <c r="J12" s="5">
        <f>'Table Games'!H9+'Video Lottery'!I9</f>
        <v>5273.25</v>
      </c>
      <c r="K12" s="5">
        <f>'Table Games'!I9+'Video Lottery'!J9</f>
        <v>3295.7799999999997</v>
      </c>
      <c r="L12" s="5">
        <f>'Table Games'!J9+'Video Lottery'!K9</f>
        <v>3295.81</v>
      </c>
      <c r="M12" s="5">
        <f>'Table Games'!K9+'Video Lottery'!L9</f>
        <v>3295.62</v>
      </c>
      <c r="N12" s="5">
        <f>'Table Games'!L9+'Video Lottery'!M9</f>
        <v>3295.11</v>
      </c>
    </row>
    <row r="13" spans="1:14" customFormat="1" ht="15" customHeight="1" x14ac:dyDescent="0.25">
      <c r="A13" s="4" t="s">
        <v>27</v>
      </c>
      <c r="B13" s="5">
        <f>'Table Games'!B10</f>
        <v>276365</v>
      </c>
      <c r="C13" s="5">
        <f>'Video Lottery'!B10</f>
        <v>262908.17</v>
      </c>
      <c r="D13" s="5">
        <f>'Table Games'!C10+'Video Lottery'!C10</f>
        <v>177556.40000000002</v>
      </c>
      <c r="E13" s="5">
        <f>'Table Games'!D10+'Video Lottery'!D10</f>
        <v>26633.47</v>
      </c>
      <c r="F13" s="5">
        <f>'Video Lottery'!E10</f>
        <v>2366.17</v>
      </c>
      <c r="G13" s="5">
        <f>'Table Games'!E10+'Video Lottery'!F10</f>
        <v>4422</v>
      </c>
      <c r="H13" s="5">
        <f>'Table Games'!F10+'Video Lottery'!G10</f>
        <v>152978.76</v>
      </c>
      <c r="I13" s="5">
        <f>'Table Games'!G10+'Video Lottery'!H10</f>
        <v>131561.73000000001</v>
      </c>
      <c r="J13" s="5">
        <f>'Table Games'!H10+'Video Lottery'!I10</f>
        <v>6119.15</v>
      </c>
      <c r="K13" s="5">
        <f>'Table Games'!I10+'Video Lottery'!J10</f>
        <v>3824.47</v>
      </c>
      <c r="L13" s="5">
        <f>'Table Games'!J10+'Video Lottery'!K10</f>
        <v>3824.45</v>
      </c>
      <c r="M13" s="5">
        <f>'Table Games'!K10+'Video Lottery'!L10</f>
        <v>3824.8199999999997</v>
      </c>
      <c r="N13" s="5">
        <f>'Table Games'!L10+'Video Lottery'!M10</f>
        <v>3825.5099999999998</v>
      </c>
    </row>
    <row r="14" spans="1:14" customFormat="1" ht="15" customHeight="1" x14ac:dyDescent="0.25">
      <c r="A14" s="4" t="s">
        <v>28</v>
      </c>
      <c r="B14" s="5">
        <f>'Table Games'!B11</f>
        <v>706539</v>
      </c>
      <c r="C14" s="5">
        <f>'Video Lottery'!B11</f>
        <v>405215.25</v>
      </c>
      <c r="D14" s="5">
        <f>'Table Games'!C11+'Video Lottery'!C11</f>
        <v>357839.21</v>
      </c>
      <c r="E14" s="5">
        <f>'Table Games'!D11+'Video Lottery'!D11</f>
        <v>53675.89</v>
      </c>
      <c r="F14" s="5">
        <f>'Video Lottery'!E11</f>
        <v>3646.94</v>
      </c>
      <c r="G14" s="5">
        <f>'Table Games'!E11+'Video Lottery'!F11</f>
        <v>4338.79</v>
      </c>
      <c r="H14" s="5">
        <f>'Table Games'!F11+'Video Lottery'!G11</f>
        <v>304855.17</v>
      </c>
      <c r="I14" s="5">
        <f>'Table Games'!G11+'Video Lottery'!H11</f>
        <v>262175.45</v>
      </c>
      <c r="J14" s="5">
        <f>'Table Games'!H11+'Video Lottery'!I11</f>
        <v>12194.2</v>
      </c>
      <c r="K14" s="5">
        <f>'Table Games'!I11+'Video Lottery'!J11</f>
        <v>7621.38</v>
      </c>
      <c r="L14" s="5">
        <f>'Table Games'!J11+'Video Lottery'!K11</f>
        <v>7621.39</v>
      </c>
      <c r="M14" s="5">
        <f>'Table Games'!K11+'Video Lottery'!L11</f>
        <v>7621.02</v>
      </c>
      <c r="N14" s="5">
        <f>'Table Games'!L11+'Video Lottery'!M11</f>
        <v>7622.29</v>
      </c>
    </row>
    <row r="15" spans="1:14" customFormat="1" ht="15" customHeight="1" x14ac:dyDescent="0.25">
      <c r="A15" s="4" t="s">
        <v>29</v>
      </c>
      <c r="B15" s="5">
        <f>'Table Games'!B12</f>
        <v>240541.75</v>
      </c>
      <c r="C15" s="5">
        <f>'Video Lottery'!B12</f>
        <v>242209.82</v>
      </c>
      <c r="D15" s="5">
        <f>'Table Games'!C12+'Video Lottery'!C12</f>
        <v>159358.06</v>
      </c>
      <c r="E15" s="5">
        <f>'Table Games'!D12+'Video Lottery'!D12</f>
        <v>23903.71</v>
      </c>
      <c r="F15" s="5">
        <f>'Video Lottery'!E12</f>
        <v>2179.89</v>
      </c>
      <c r="G15" s="5">
        <f>'Table Games'!E12+'Video Lottery'!F12</f>
        <v>4599.57</v>
      </c>
      <c r="H15" s="5">
        <f>'Table Games'!F12+'Video Lottery'!G12</f>
        <v>137874.03</v>
      </c>
      <c r="I15" s="5">
        <f>'Table Games'!G12+'Video Lottery'!H12</f>
        <v>118571.67000000001</v>
      </c>
      <c r="J15" s="5">
        <f>'Table Games'!H12+'Video Lottery'!I12</f>
        <v>5514.96</v>
      </c>
      <c r="K15" s="5">
        <f>'Table Games'!I12+'Video Lottery'!J12</f>
        <v>3446.8500000000004</v>
      </c>
      <c r="L15" s="5">
        <f>'Table Games'!J12+'Video Lottery'!K12</f>
        <v>3446.87</v>
      </c>
      <c r="M15" s="5">
        <f>'Table Games'!K12+'Video Lottery'!L12</f>
        <v>3446.82</v>
      </c>
      <c r="N15" s="5">
        <f>'Table Games'!L12+'Video Lottery'!M12</f>
        <v>3445.3900000000003</v>
      </c>
    </row>
    <row r="16" spans="1:14" customFormat="1" ht="15" customHeight="1" x14ac:dyDescent="0.25">
      <c r="A16" s="4" t="s">
        <v>30</v>
      </c>
      <c r="B16" s="5">
        <f>'Table Games'!B13</f>
        <v>502629</v>
      </c>
      <c r="C16" s="5">
        <f>'Video Lottery'!B13</f>
        <v>190119.84000000014</v>
      </c>
      <c r="D16" s="5">
        <f>'Table Games'!C13+'Video Lottery'!C13</f>
        <v>219231.81</v>
      </c>
      <c r="E16" s="5">
        <f>'Table Games'!D13+'Video Lottery'!D13</f>
        <v>32884.78</v>
      </c>
      <c r="F16" s="5">
        <f>'Video Lottery'!E13</f>
        <v>1711.08</v>
      </c>
      <c r="G16" s="5">
        <f>'Table Games'!E13+'Video Lottery'!F13</f>
        <v>4101.3599999999997</v>
      </c>
      <c r="H16" s="5">
        <f>'Table Games'!F13+'Video Lottery'!G13</f>
        <v>188737.31</v>
      </c>
      <c r="I16" s="5">
        <f>'Table Games'!G13+'Video Lottery'!H13</f>
        <v>162314.06</v>
      </c>
      <c r="J16" s="5">
        <f>'Table Games'!H13+'Video Lottery'!I13</f>
        <v>7549.49</v>
      </c>
      <c r="K16" s="5">
        <f>'Table Games'!I13+'Video Lottery'!J13</f>
        <v>4718.4400000000005</v>
      </c>
      <c r="L16" s="5">
        <f>'Table Games'!J13+'Video Lottery'!K13</f>
        <v>4718.42</v>
      </c>
      <c r="M16" s="5">
        <f>'Table Games'!K13+'Video Lottery'!L13</f>
        <v>4718.5200000000004</v>
      </c>
      <c r="N16" s="5">
        <f>'Table Games'!L13+'Video Lottery'!M13</f>
        <v>4718.3500000000004</v>
      </c>
    </row>
    <row r="17" spans="1:14" customFormat="1" ht="15" customHeight="1" x14ac:dyDescent="0.25">
      <c r="A17" s="4" t="s">
        <v>32</v>
      </c>
      <c r="B17" s="5">
        <f>'Table Games'!B14</f>
        <v>334658.5</v>
      </c>
      <c r="C17" s="5">
        <f>'Video Lottery'!B14</f>
        <v>244605.26</v>
      </c>
      <c r="D17" s="5">
        <f>'Table Games'!C14+'Video Lottery'!C14</f>
        <v>188455.47</v>
      </c>
      <c r="E17" s="5">
        <f>'Table Games'!D14+'Video Lottery'!D14</f>
        <v>28268.32</v>
      </c>
      <c r="F17" s="5">
        <f>'Video Lottery'!E14</f>
        <v>2201.4499999999998</v>
      </c>
      <c r="G17" s="5">
        <f>'Table Games'!E14+'Video Lottery'!F14</f>
        <v>4532.5</v>
      </c>
      <c r="H17" s="5">
        <f>'Table Games'!F14+'Video Lottery'!G14</f>
        <v>162518.20000000001</v>
      </c>
      <c r="I17" s="5">
        <f>'Table Games'!G14+'Video Lottery'!H14</f>
        <v>139765.66999999998</v>
      </c>
      <c r="J17" s="5">
        <f>'Table Games'!H14+'Video Lottery'!I14</f>
        <v>6500.73</v>
      </c>
      <c r="K17" s="5">
        <f>'Table Games'!I14+'Video Lottery'!J14</f>
        <v>4062.95</v>
      </c>
      <c r="L17" s="5">
        <f>'Table Games'!J14+'Video Lottery'!K14</f>
        <v>4062.9399999999996</v>
      </c>
      <c r="M17" s="5">
        <f>'Table Games'!K14+'Video Lottery'!L14</f>
        <v>4062.96</v>
      </c>
      <c r="N17" s="5">
        <f>'Table Games'!L14+'Video Lottery'!M14</f>
        <v>4064.1899999999996</v>
      </c>
    </row>
    <row r="18" spans="1:14" customFormat="1" ht="15" customHeight="1" x14ac:dyDescent="0.25">
      <c r="A18" s="4" t="s">
        <v>33</v>
      </c>
      <c r="B18" s="5">
        <f>'Table Games'!B15</f>
        <v>451778.75</v>
      </c>
      <c r="C18" s="5">
        <f>'Video Lottery'!B15</f>
        <v>207713.24000000005</v>
      </c>
      <c r="D18" s="5">
        <f>'Table Games'!C15+'Video Lottery'!C15</f>
        <v>210310.34000000003</v>
      </c>
      <c r="E18" s="5">
        <f>'Table Games'!D15+'Video Lottery'!D15</f>
        <v>31546.550000000003</v>
      </c>
      <c r="F18" s="5">
        <f>'Video Lottery'!E15</f>
        <v>1869.42</v>
      </c>
      <c r="G18" s="5">
        <f>'Table Games'!E15+'Video Lottery'!F15</f>
        <v>4290.0600000000004</v>
      </c>
      <c r="H18" s="5">
        <f>'Table Games'!F15+'Video Lottery'!G15</f>
        <v>181184.43</v>
      </c>
      <c r="I18" s="5">
        <f>'Table Games'!G15+'Video Lottery'!H15</f>
        <v>155818.58000000002</v>
      </c>
      <c r="J18" s="5">
        <f>'Table Games'!H15+'Video Lottery'!I15</f>
        <v>7247.369999999999</v>
      </c>
      <c r="K18" s="5">
        <f>'Table Games'!I15+'Video Lottery'!J15</f>
        <v>4529.62</v>
      </c>
      <c r="L18" s="5">
        <f>'Table Games'!J15+'Video Lottery'!K15</f>
        <v>4529.63</v>
      </c>
      <c r="M18" s="5">
        <f>'Table Games'!K15+'Video Lottery'!L15</f>
        <v>4529.5200000000004</v>
      </c>
      <c r="N18" s="5">
        <f>'Table Games'!L15+'Video Lottery'!M15</f>
        <v>4528.29</v>
      </c>
    </row>
    <row r="19" spans="1:14" customFormat="1" ht="15" customHeight="1" x14ac:dyDescent="0.25">
      <c r="A19" s="4" t="s">
        <v>34</v>
      </c>
      <c r="B19" s="5">
        <f>'Table Games'!B16</f>
        <v>337970</v>
      </c>
      <c r="C19" s="5">
        <f>'Video Lottery'!B16</f>
        <v>-47332.89</v>
      </c>
      <c r="D19" s="5">
        <f>'Table Games'!C16+'Video Lottery'!C16</f>
        <v>84351.1</v>
      </c>
      <c r="E19" s="5">
        <f>'Table Games'!D16+'Video Lottery'!D16</f>
        <v>12652.66</v>
      </c>
      <c r="F19" s="5">
        <f>'Video Lottery'!E16</f>
        <v>-426</v>
      </c>
      <c r="G19" s="5">
        <f>'Table Games'!E16+'Video Lottery'!F16</f>
        <v>3405.92</v>
      </c>
      <c r="H19" s="5">
        <f>'Table Games'!F16+'Video Lottery'!G16</f>
        <v>75530.360000000015</v>
      </c>
      <c r="I19" s="5">
        <f>'Table Games'!G16+'Video Lottery'!H16</f>
        <v>64956.109999999986</v>
      </c>
      <c r="J19" s="5">
        <f>'Table Games'!H16+'Video Lottery'!I16</f>
        <v>3021.21</v>
      </c>
      <c r="K19" s="5">
        <f>'Table Games'!I16+'Video Lottery'!J16</f>
        <v>1888.2600000000002</v>
      </c>
      <c r="L19" s="5">
        <f>'Table Games'!J16+'Video Lottery'!K16</f>
        <v>1888.25</v>
      </c>
      <c r="M19" s="5">
        <f>'Table Games'!K16+'Video Lottery'!L16</f>
        <v>1888.3800000000003</v>
      </c>
      <c r="N19" s="5">
        <f>'Table Games'!L16+'Video Lottery'!M16</f>
        <v>1889.5500000000002</v>
      </c>
    </row>
    <row r="20" spans="1:14" customFormat="1" ht="15" customHeight="1" x14ac:dyDescent="0.25">
      <c r="A20" s="8" t="s">
        <v>36</v>
      </c>
      <c r="B20" s="5">
        <f>'Table Games'!B17</f>
        <v>536984</v>
      </c>
      <c r="C20" s="5">
        <f>'Video Lottery'!B17</f>
        <v>35719.46</v>
      </c>
      <c r="D20" s="5">
        <f>'Table Games'!C17+'Video Lottery'!C17</f>
        <v>173954.18000000002</v>
      </c>
      <c r="E20" s="5">
        <f>'Table Games'!D17+'Video Lottery'!D17</f>
        <v>26093.129999999997</v>
      </c>
      <c r="F20" s="5">
        <f>'Video Lottery'!E17</f>
        <v>321.47000000000003</v>
      </c>
      <c r="G20" s="5">
        <f>'Table Games'!E17+'Video Lottery'!F17</f>
        <v>2977.09</v>
      </c>
      <c r="H20" s="5">
        <f>'Table Games'!F17+'Video Lottery'!G17</f>
        <v>150516.67000000001</v>
      </c>
      <c r="I20" s="5">
        <f>'Table Games'!G17+'Video Lottery'!H17</f>
        <v>129444.32</v>
      </c>
      <c r="J20" s="5">
        <f>'Table Games'!H17+'Video Lottery'!I17</f>
        <v>6020.67</v>
      </c>
      <c r="K20" s="5">
        <f>'Table Games'!I17+'Video Lottery'!J17</f>
        <v>3762.9199999999996</v>
      </c>
      <c r="L20" s="5">
        <f>'Table Games'!J17+'Video Lottery'!K17</f>
        <v>3762.9199999999996</v>
      </c>
      <c r="M20" s="5">
        <f>'Table Games'!K17+'Video Lottery'!L17</f>
        <v>3762.72</v>
      </c>
      <c r="N20" s="5">
        <f>'Table Games'!L17+'Video Lottery'!M17</f>
        <v>3761.4199999999996</v>
      </c>
    </row>
    <row r="21" spans="1:14" customFormat="1" ht="15" customHeight="1" x14ac:dyDescent="0.25"/>
    <row r="22" spans="1:14" customFormat="1" ht="15" customHeight="1" thickBot="1" x14ac:dyDescent="0.3">
      <c r="B22" s="6">
        <f t="shared" ref="B22:N22" si="0">SUM(B9:B21)</f>
        <v>4873397.25</v>
      </c>
      <c r="C22" s="6">
        <f t="shared" si="0"/>
        <v>2514367.3199999998</v>
      </c>
      <c r="D22" s="6">
        <f t="shared" si="0"/>
        <v>2367191.1800000006</v>
      </c>
      <c r="E22" s="6">
        <f t="shared" si="0"/>
        <v>355078.68999999994</v>
      </c>
      <c r="F22" s="6">
        <f t="shared" si="0"/>
        <v>22629.300000000003</v>
      </c>
      <c r="G22" s="6">
        <f t="shared" si="0"/>
        <v>52817.78</v>
      </c>
      <c r="H22" s="6">
        <f t="shared" si="0"/>
        <v>2042300.97</v>
      </c>
      <c r="I22" s="6">
        <f t="shared" si="0"/>
        <v>1756378.78</v>
      </c>
      <c r="J22" s="6">
        <f t="shared" si="0"/>
        <v>81692.03</v>
      </c>
      <c r="K22" s="6">
        <f t="shared" si="0"/>
        <v>51057.54</v>
      </c>
      <c r="L22" s="6">
        <f t="shared" si="0"/>
        <v>51057.509999999995</v>
      </c>
      <c r="M22" s="6">
        <f t="shared" si="0"/>
        <v>51057.54</v>
      </c>
      <c r="N22" s="6">
        <f t="shared" si="0"/>
        <v>51057.630000000005</v>
      </c>
    </row>
    <row r="23" spans="1:14" ht="15" customHeight="1" thickTop="1" x14ac:dyDescent="0.2"/>
    <row r="24" spans="1:14" ht="15" customHeight="1" x14ac:dyDescent="0.2">
      <c r="A24" s="7" t="s">
        <v>11</v>
      </c>
    </row>
  </sheetData>
  <mergeCells count="4">
    <mergeCell ref="A1:N1"/>
    <mergeCell ref="A2:N2"/>
    <mergeCell ref="A3:N3"/>
    <mergeCell ref="A4:N4"/>
  </mergeCells>
  <pageMargins left="0.25" right="0.25" top="0.5" bottom="0.25" header="0" footer="0"/>
  <pageSetup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21"/>
  <sheetViews>
    <sheetView workbookViewId="0">
      <pane ySplit="3" topLeftCell="A4" activePane="bottomLeft" state="frozen"/>
      <selection pane="bottomLeft" activeCell="A18" sqref="A18"/>
    </sheetView>
  </sheetViews>
  <sheetFormatPr defaultRowHeight="15" customHeight="1" x14ac:dyDescent="0.25"/>
  <cols>
    <col min="1" max="1" width="15.7109375" customWidth="1"/>
    <col min="2" max="3" width="15" bestFit="1" customWidth="1"/>
    <col min="4" max="4" width="13.28515625" bestFit="1" customWidth="1"/>
    <col min="5" max="5" width="13.7109375" customWidth="1"/>
    <col min="6" max="6" width="11.7109375" customWidth="1"/>
    <col min="7" max="7" width="15" bestFit="1" customWidth="1"/>
    <col min="8" max="8" width="14.28515625" bestFit="1" customWidth="1"/>
    <col min="9" max="10" width="11.7109375" customWidth="1"/>
    <col min="11" max="11" width="13.7109375" bestFit="1" customWidth="1"/>
    <col min="12" max="12" width="11.7109375" customWidth="1"/>
    <col min="13" max="13" width="15.140625" bestFit="1" customWidth="1"/>
  </cols>
  <sheetData>
    <row r="1" spans="1:13" ht="45" x14ac:dyDescent="0.25">
      <c r="B1" s="2" t="s">
        <v>13</v>
      </c>
      <c r="C1" s="2" t="s">
        <v>2</v>
      </c>
      <c r="D1" s="2" t="s">
        <v>12</v>
      </c>
      <c r="E1" s="2" t="s">
        <v>3</v>
      </c>
      <c r="F1" s="3" t="s">
        <v>4</v>
      </c>
      <c r="G1" s="2" t="s">
        <v>14</v>
      </c>
      <c r="H1" s="2" t="s">
        <v>3</v>
      </c>
      <c r="I1" s="2" t="s">
        <v>18</v>
      </c>
      <c r="J1" s="2" t="s">
        <v>5</v>
      </c>
      <c r="K1" s="2" t="s">
        <v>6</v>
      </c>
      <c r="L1" s="2" t="s">
        <v>7</v>
      </c>
      <c r="M1" s="2" t="s">
        <v>8</v>
      </c>
    </row>
    <row r="2" spans="1:13" ht="15" customHeight="1" x14ac:dyDescent="0.25">
      <c r="A2" s="4" t="s">
        <v>22</v>
      </c>
      <c r="B2" s="5">
        <v>4017014.5500000003</v>
      </c>
      <c r="C2" s="5">
        <v>1446125.16</v>
      </c>
      <c r="D2" s="5">
        <v>216918.77</v>
      </c>
      <c r="E2" s="5">
        <v>36153.11</v>
      </c>
      <c r="F2" s="5">
        <v>35854.909999999996</v>
      </c>
      <c r="G2" s="5">
        <v>1228908.1900000002</v>
      </c>
      <c r="H2" s="5">
        <v>1056861.01</v>
      </c>
      <c r="I2" s="5">
        <v>49156.340000000004</v>
      </c>
      <c r="J2" s="5">
        <v>30722.71</v>
      </c>
      <c r="K2" s="5">
        <v>30722.7</v>
      </c>
      <c r="L2" s="5">
        <v>30722.720000000001</v>
      </c>
      <c r="M2" s="5">
        <v>30722.26</v>
      </c>
    </row>
    <row r="4" spans="1:13" ht="15" customHeight="1" x14ac:dyDescent="0.25">
      <c r="A4" s="11" t="s">
        <v>23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</row>
    <row r="6" spans="1:13" ht="15" customHeight="1" x14ac:dyDescent="0.25">
      <c r="A6" s="4" t="s">
        <v>21</v>
      </c>
      <c r="B6" s="5">
        <v>280610.77999999991</v>
      </c>
      <c r="C6" s="5">
        <f>ROUND(B6*0.36,2)-0.01</f>
        <v>101019.87000000001</v>
      </c>
      <c r="D6" s="5">
        <f t="shared" ref="D6" si="0">ROUND(C6*0.15,2)</f>
        <v>15152.98</v>
      </c>
      <c r="E6" s="5">
        <f t="shared" ref="E6:E17" si="1">ROUND($C6*0.025,2)</f>
        <v>2525.5</v>
      </c>
      <c r="F6" s="5">
        <v>2738.25</v>
      </c>
      <c r="G6" s="5">
        <f t="shared" ref="G6" si="2">C6-D6-E6+F6</f>
        <v>86079.640000000014</v>
      </c>
      <c r="H6" s="5">
        <f>ROUND($G6*0.86,2)</f>
        <v>74028.490000000005</v>
      </c>
      <c r="I6" s="5">
        <f t="shared" ref="I6:I17" si="3">ROUND($G6*0.04,2)</f>
        <v>3443.19</v>
      </c>
      <c r="J6" s="5">
        <f t="shared" ref="J6:J17" si="4">ROUND($G6*0.025,2)</f>
        <v>2151.9899999999998</v>
      </c>
      <c r="K6" s="5">
        <f>ROUND($G6*0.025,2)-0.02</f>
        <v>2151.9699999999998</v>
      </c>
      <c r="L6" s="5">
        <f>ROUND($G6*0.025,2)+0.24</f>
        <v>2152.2299999999996</v>
      </c>
      <c r="M6" s="5">
        <f>ROUND($G6*0.025,2)+0.46</f>
        <v>2152.4499999999998</v>
      </c>
    </row>
    <row r="7" spans="1:13" ht="15" customHeight="1" x14ac:dyDescent="0.25">
      <c r="A7" s="4" t="s">
        <v>24</v>
      </c>
      <c r="B7" s="5">
        <v>265285.86</v>
      </c>
      <c r="C7" s="5">
        <f>ROUND(B7*0.36,2)-0.03</f>
        <v>95502.88</v>
      </c>
      <c r="D7" s="5">
        <f t="shared" ref="D7" si="5">ROUND(C7*0.15,2)</f>
        <v>14325.43</v>
      </c>
      <c r="E7" s="5">
        <f t="shared" si="1"/>
        <v>2387.5700000000002</v>
      </c>
      <c r="F7" s="5">
        <v>3043.02</v>
      </c>
      <c r="G7" s="5">
        <f t="shared" ref="G7" si="6">C7-D7-E7+F7</f>
        <v>81832.900000000009</v>
      </c>
      <c r="H7" s="5">
        <f>ROUND($G7*0.86,2)+0.01</f>
        <v>70376.299999999988</v>
      </c>
      <c r="I7" s="5">
        <f t="shared" si="3"/>
        <v>3273.32</v>
      </c>
      <c r="J7" s="5">
        <f t="shared" si="4"/>
        <v>2045.82</v>
      </c>
      <c r="K7" s="5">
        <f>ROUND($G7*0.025,2)+0.02</f>
        <v>2045.84</v>
      </c>
      <c r="L7" s="5">
        <f>ROUND($G7*0.025,2)-0.24</f>
        <v>2045.58</v>
      </c>
      <c r="M7" s="5">
        <f>ROUND($G7*0.025,2)+0.33</f>
        <v>2046.1499999999999</v>
      </c>
    </row>
    <row r="8" spans="1:13" ht="15" customHeight="1" x14ac:dyDescent="0.25">
      <c r="A8" s="4" t="str">
        <f>Summary!A11</f>
        <v>September 2024</v>
      </c>
      <c r="B8" s="5">
        <v>216664.73</v>
      </c>
      <c r="C8" s="5">
        <f>ROUND(B8*0.36,2)-0.02</f>
        <v>77999.28</v>
      </c>
      <c r="D8" s="5">
        <f t="shared" ref="D8" si="7">ROUND(C8*0.15,2)</f>
        <v>11699.89</v>
      </c>
      <c r="E8" s="5">
        <f t="shared" si="1"/>
        <v>1949.98</v>
      </c>
      <c r="F8" s="5">
        <v>2156.2399999999998</v>
      </c>
      <c r="G8" s="5">
        <f t="shared" ref="G8" si="8">C8-D8-E8+F8</f>
        <v>66505.649999999994</v>
      </c>
      <c r="H8" s="5">
        <f>ROUND($G8*0.86,2)</f>
        <v>57194.86</v>
      </c>
      <c r="I8" s="5">
        <f t="shared" si="3"/>
        <v>2660.23</v>
      </c>
      <c r="J8" s="5">
        <f t="shared" si="4"/>
        <v>1662.64</v>
      </c>
      <c r="K8" s="5">
        <f>ROUND($G8*0.025,2)-0.02</f>
        <v>1662.6200000000001</v>
      </c>
      <c r="L8" s="5">
        <f>ROUND($G8*0.025,2)+0.15</f>
        <v>1662.7900000000002</v>
      </c>
      <c r="M8" s="5">
        <f>ROUND($G8*0.025,2)-0.45</f>
        <v>1662.19</v>
      </c>
    </row>
    <row r="9" spans="1:13" ht="15" customHeight="1" x14ac:dyDescent="0.25">
      <c r="A9" s="4" t="str">
        <f>Summary!A12</f>
        <v>October 2024</v>
      </c>
      <c r="B9" s="5">
        <v>210647.80000000005</v>
      </c>
      <c r="C9" s="5">
        <f>ROUND(B9*0.36,2)-0.02</f>
        <v>75833.19</v>
      </c>
      <c r="D9" s="5">
        <f t="shared" ref="D9" si="9">ROUND(C9*0.15,2)</f>
        <v>11374.98</v>
      </c>
      <c r="E9" s="5">
        <f t="shared" si="1"/>
        <v>1895.83</v>
      </c>
      <c r="F9" s="5">
        <v>2137.7399999999998</v>
      </c>
      <c r="G9" s="5">
        <f t="shared" ref="G9" si="10">C9-D9-E9+F9</f>
        <v>64700.12</v>
      </c>
      <c r="H9" s="5">
        <f>ROUND($G9*0.86,2)+0.02</f>
        <v>55642.119999999995</v>
      </c>
      <c r="I9" s="5">
        <f t="shared" si="3"/>
        <v>2588</v>
      </c>
      <c r="J9" s="5">
        <f t="shared" si="4"/>
        <v>1617.5</v>
      </c>
      <c r="K9" s="5">
        <f>ROUND($G9*0.025,2)+0.02</f>
        <v>1617.52</v>
      </c>
      <c r="L9" s="5">
        <f>ROUND($G9*0.025,2)-0.08</f>
        <v>1617.42</v>
      </c>
      <c r="M9" s="5">
        <f>ROUND($G9*0.025,2)-0.34</f>
        <v>1617.16</v>
      </c>
    </row>
    <row r="10" spans="1:13" ht="15" customHeight="1" x14ac:dyDescent="0.25">
      <c r="A10" s="4" t="str">
        <f>Summary!A13</f>
        <v>November 2024</v>
      </c>
      <c r="B10" s="5">
        <v>262908.17</v>
      </c>
      <c r="C10" s="5">
        <f>ROUND(B10*0.36,2)-0.04</f>
        <v>94646.900000000009</v>
      </c>
      <c r="D10" s="5">
        <f t="shared" ref="D10" si="11">ROUND(C10*0.15,2)</f>
        <v>14197.04</v>
      </c>
      <c r="E10" s="5">
        <f t="shared" si="1"/>
        <v>2366.17</v>
      </c>
      <c r="F10" s="5">
        <v>2211</v>
      </c>
      <c r="G10" s="5">
        <f t="shared" ref="G10" si="12">C10-D10-E10+F10</f>
        <v>80294.690000000017</v>
      </c>
      <c r="H10" s="5">
        <f>ROUND($G10*0.86,2)-0.01</f>
        <v>69053.42</v>
      </c>
      <c r="I10" s="5">
        <f t="shared" si="3"/>
        <v>3211.79</v>
      </c>
      <c r="J10" s="5">
        <f t="shared" si="4"/>
        <v>2007.37</v>
      </c>
      <c r="K10" s="5">
        <f>ROUND($G10*0.025,2)-0.02</f>
        <v>2007.35</v>
      </c>
      <c r="L10" s="5">
        <f>ROUND($G10*0.025,2)+0.18</f>
        <v>2007.55</v>
      </c>
      <c r="M10" s="5">
        <f>ROUND($G10*0.025,2)+0.52</f>
        <v>2007.8899999999999</v>
      </c>
    </row>
    <row r="11" spans="1:13" ht="15" customHeight="1" x14ac:dyDescent="0.25">
      <c r="A11" s="4" t="s">
        <v>28</v>
      </c>
      <c r="B11" s="5">
        <v>405215.25</v>
      </c>
      <c r="C11" s="5">
        <f>ROUND(B11*0.36,2)+0.01</f>
        <v>145877.5</v>
      </c>
      <c r="D11" s="5">
        <f t="shared" ref="D11" si="13">ROUND(C11*0.15,2)</f>
        <v>21881.63</v>
      </c>
      <c r="E11" s="5">
        <f t="shared" si="1"/>
        <v>3646.94</v>
      </c>
      <c r="F11" s="5">
        <v>2169.39</v>
      </c>
      <c r="G11" s="5">
        <f t="shared" ref="G11" si="14">C11-D11-E11+F11</f>
        <v>122518.31999999999</v>
      </c>
      <c r="H11" s="5">
        <f>ROUND($G11*0.86,2)-0.01</f>
        <v>105365.75</v>
      </c>
      <c r="I11" s="5">
        <f t="shared" si="3"/>
        <v>4900.7299999999996</v>
      </c>
      <c r="J11" s="5">
        <f t="shared" si="4"/>
        <v>3062.96</v>
      </c>
      <c r="K11" s="5">
        <f>ROUND($G11*0.025,2)+0.01</f>
        <v>3062.9700000000003</v>
      </c>
      <c r="L11" s="5">
        <f>ROUND($G11*0.025,2)-0.18</f>
        <v>3062.78</v>
      </c>
      <c r="M11" s="5">
        <f>ROUND($G11*0.025,2)+0.45</f>
        <v>3063.41</v>
      </c>
    </row>
    <row r="12" spans="1:13" ht="15" customHeight="1" x14ac:dyDescent="0.25">
      <c r="A12" s="4" t="s">
        <v>29</v>
      </c>
      <c r="B12" s="5">
        <v>242209.82</v>
      </c>
      <c r="C12" s="5">
        <f>ROUND(B12*0.36,2)</f>
        <v>87195.54</v>
      </c>
      <c r="D12" s="5">
        <f t="shared" ref="D12" si="15">ROUND(C12*0.15,2)</f>
        <v>13079.33</v>
      </c>
      <c r="E12" s="5">
        <f t="shared" si="1"/>
        <v>2179.89</v>
      </c>
      <c r="F12" s="5">
        <v>2299.7800000000002</v>
      </c>
      <c r="G12" s="5">
        <f t="shared" ref="G12" si="16">C12-D12-E12+F12</f>
        <v>74236.099999999991</v>
      </c>
      <c r="H12" s="5">
        <f>ROUND($G12*0.86,2)+0.01</f>
        <v>63843.060000000005</v>
      </c>
      <c r="I12" s="5">
        <f t="shared" si="3"/>
        <v>2969.44</v>
      </c>
      <c r="J12" s="5">
        <f t="shared" si="4"/>
        <v>1855.9</v>
      </c>
      <c r="K12" s="5">
        <f>ROUND($G12*0.025,2)+0.01</f>
        <v>1855.91</v>
      </c>
      <c r="L12" s="5">
        <f>ROUND($G12*0.025,2)-0.02</f>
        <v>1855.88</v>
      </c>
      <c r="M12" s="5">
        <f>ROUND($G12*0.025,2)-0.73</f>
        <v>1855.17</v>
      </c>
    </row>
    <row r="13" spans="1:13" ht="15" customHeight="1" x14ac:dyDescent="0.25">
      <c r="A13" s="4" t="s">
        <v>30</v>
      </c>
      <c r="B13" s="5">
        <v>190119.84000000014</v>
      </c>
      <c r="C13" s="5">
        <f>ROUND(B13*0.36,2)-0.03</f>
        <v>68443.11</v>
      </c>
      <c r="D13" s="5">
        <f t="shared" ref="D13" si="17">ROUND(C13*0.15,2)</f>
        <v>10266.469999999999</v>
      </c>
      <c r="E13" s="5">
        <f t="shared" si="1"/>
        <v>1711.08</v>
      </c>
      <c r="F13" s="5">
        <v>2050.6799999999998</v>
      </c>
      <c r="G13" s="5">
        <f t="shared" ref="G13" si="18">C13-D13-E13+F13</f>
        <v>58516.24</v>
      </c>
      <c r="H13" s="5">
        <f>ROUND($G13*0.86,2)-0.02</f>
        <v>50323.950000000004</v>
      </c>
      <c r="I13" s="5">
        <f t="shared" si="3"/>
        <v>2340.65</v>
      </c>
      <c r="J13" s="5">
        <f t="shared" si="4"/>
        <v>1462.91</v>
      </c>
      <c r="K13" s="5">
        <f>ROUND($G13*0.025,2)-0.01</f>
        <v>1462.9</v>
      </c>
      <c r="L13" s="5">
        <f>ROUND($G13*0.025,2)+0.04</f>
        <v>1462.95</v>
      </c>
      <c r="M13" s="5">
        <f>ROUND($G13*0.025,2)-0.04</f>
        <v>1462.8700000000001</v>
      </c>
    </row>
    <row r="14" spans="1:13" ht="15" customHeight="1" x14ac:dyDescent="0.25">
      <c r="A14" s="4" t="str">
        <f>Summary!A17</f>
        <v>March 2025</v>
      </c>
      <c r="B14" s="5">
        <v>244605.26</v>
      </c>
      <c r="C14" s="5">
        <f>ROUND(B14*0.36,2)+0.03</f>
        <v>88057.919999999998</v>
      </c>
      <c r="D14" s="5">
        <f t="shared" ref="D14" si="19">ROUND(C14*0.15,2)</f>
        <v>13208.69</v>
      </c>
      <c r="E14" s="5">
        <f t="shared" si="1"/>
        <v>2201.4499999999998</v>
      </c>
      <c r="F14" s="5">
        <v>2266.25</v>
      </c>
      <c r="G14" s="5">
        <f t="shared" ref="G14" si="20">C14-D14-E14+F14</f>
        <v>74914.03</v>
      </c>
      <c r="H14" s="5">
        <f>ROUND($G14*0.86,2)</f>
        <v>64426.07</v>
      </c>
      <c r="I14" s="5">
        <f t="shared" si="3"/>
        <v>2996.56</v>
      </c>
      <c r="J14" s="5">
        <f t="shared" si="4"/>
        <v>1872.85</v>
      </c>
      <c r="K14" s="5">
        <f>ROUND($G14*0.025,2)</f>
        <v>1872.85</v>
      </c>
      <c r="L14" s="5">
        <f>ROUND($G14*0.025,2)</f>
        <v>1872.85</v>
      </c>
      <c r="M14" s="5">
        <f>ROUND($G14*0.025,2)+0.62</f>
        <v>1873.4699999999998</v>
      </c>
    </row>
    <row r="15" spans="1:13" ht="15" customHeight="1" x14ac:dyDescent="0.25">
      <c r="A15" s="4" t="str">
        <f>Summary!A18</f>
        <v>April 2025</v>
      </c>
      <c r="B15" s="5">
        <v>207713.24000000005</v>
      </c>
      <c r="C15" s="5">
        <f>ROUND(B15*0.36,2)-0.06</f>
        <v>74776.710000000006</v>
      </c>
      <c r="D15" s="5">
        <f t="shared" ref="D15" si="21">ROUND(C15*0.15,2)</f>
        <v>11216.51</v>
      </c>
      <c r="E15" s="5">
        <f t="shared" si="1"/>
        <v>1869.42</v>
      </c>
      <c r="F15" s="5">
        <v>2145.0300000000002</v>
      </c>
      <c r="G15" s="5">
        <f t="shared" ref="G15" si="22">C15-D15-E15+F15</f>
        <v>63835.810000000005</v>
      </c>
      <c r="H15" s="5">
        <f>ROUND($G15*0.86,2)-0.02</f>
        <v>54898.780000000006</v>
      </c>
      <c r="I15" s="5">
        <f t="shared" si="3"/>
        <v>2553.4299999999998</v>
      </c>
      <c r="J15" s="5">
        <f t="shared" si="4"/>
        <v>1595.9</v>
      </c>
      <c r="K15" s="5">
        <f>ROUND($G15*0.025,2)</f>
        <v>1595.9</v>
      </c>
      <c r="L15" s="5">
        <f>ROUND($G15*0.025,2)-0.04</f>
        <v>1595.8600000000001</v>
      </c>
      <c r="M15" s="5">
        <f>ROUND($G15*0.025,2)-0.66</f>
        <v>1595.24</v>
      </c>
    </row>
    <row r="16" spans="1:13" ht="15" customHeight="1" x14ac:dyDescent="0.25">
      <c r="A16" s="4" t="str">
        <f>Summary!A19</f>
        <v>May 2025</v>
      </c>
      <c r="B16" s="5">
        <v>-47332.89</v>
      </c>
      <c r="C16" s="5">
        <f>ROUND(B16*0.36,2)-0.06</f>
        <v>-17039.900000000001</v>
      </c>
      <c r="D16" s="5">
        <f t="shared" ref="D16" si="23">ROUND(C16*0.15,2)</f>
        <v>-2555.9899999999998</v>
      </c>
      <c r="E16" s="5">
        <f t="shared" si="1"/>
        <v>-426</v>
      </c>
      <c r="F16" s="5">
        <v>1702.96</v>
      </c>
      <c r="G16" s="5">
        <f t="shared" ref="G16" si="24">C16-D16-E16+F16</f>
        <v>-12354.95</v>
      </c>
      <c r="H16" s="5">
        <f>ROUND($G16*0.86,2)-0.01</f>
        <v>-10625.27</v>
      </c>
      <c r="I16" s="5">
        <f t="shared" si="3"/>
        <v>-494.2</v>
      </c>
      <c r="J16" s="5">
        <f t="shared" si="4"/>
        <v>-308.87</v>
      </c>
      <c r="K16" s="5">
        <f>ROUND($G16*0.025,2)</f>
        <v>-308.87</v>
      </c>
      <c r="L16" s="5">
        <f>ROUND($G16*0.025,2)+0.05</f>
        <v>-308.82</v>
      </c>
      <c r="M16" s="5">
        <f>ROUND($G16*0.025,2)+0.64</f>
        <v>-308.23</v>
      </c>
    </row>
    <row r="17" spans="1:13" ht="15" customHeight="1" x14ac:dyDescent="0.25">
      <c r="A17" s="4" t="str">
        <f>Summary!A20</f>
        <v>June 2025</v>
      </c>
      <c r="B17" s="5">
        <v>35719.46</v>
      </c>
      <c r="C17" s="5">
        <f>ROUND(B17*0.36,2)-0.03</f>
        <v>12858.98</v>
      </c>
      <c r="D17" s="5">
        <f t="shared" ref="D17" si="25">ROUND(C17*0.15,2)</f>
        <v>1928.85</v>
      </c>
      <c r="E17" s="5">
        <f t="shared" si="1"/>
        <v>321.47000000000003</v>
      </c>
      <c r="F17" s="5">
        <v>1488.55</v>
      </c>
      <c r="G17" s="5">
        <f t="shared" ref="G17" si="26">C17-D17-E17+F17</f>
        <v>12097.21</v>
      </c>
      <c r="H17" s="5">
        <f>ROUND($G17*0.86,2)</f>
        <v>10403.6</v>
      </c>
      <c r="I17" s="5">
        <f t="shared" si="3"/>
        <v>483.89</v>
      </c>
      <c r="J17" s="5">
        <f t="shared" si="4"/>
        <v>302.43</v>
      </c>
      <c r="K17" s="5">
        <f>ROUND($G17*0.025,2)</f>
        <v>302.43</v>
      </c>
      <c r="L17" s="5">
        <f>ROUND($G17*0.025,2)-0.09</f>
        <v>302.34000000000003</v>
      </c>
      <c r="M17" s="5">
        <f>ROUND($G17*0.025,2)-0.75</f>
        <v>301.68</v>
      </c>
    </row>
    <row r="19" spans="1:13" ht="15" customHeight="1" thickBot="1" x14ac:dyDescent="0.3">
      <c r="B19" s="6">
        <f t="shared" ref="B19:M19" si="27">SUM(B6:B18)</f>
        <v>2514367.3199999998</v>
      </c>
      <c r="C19" s="6">
        <f t="shared" si="27"/>
        <v>905171.9800000001</v>
      </c>
      <c r="D19" s="6">
        <f t="shared" si="27"/>
        <v>135775.81000000003</v>
      </c>
      <c r="E19" s="6">
        <f t="shared" si="27"/>
        <v>22629.300000000003</v>
      </c>
      <c r="F19" s="6">
        <f t="shared" si="27"/>
        <v>26408.889999999996</v>
      </c>
      <c r="G19" s="6">
        <f t="shared" si="27"/>
        <v>773175.76000000013</v>
      </c>
      <c r="H19" s="6">
        <f t="shared" si="27"/>
        <v>664931.12999999989</v>
      </c>
      <c r="I19" s="6">
        <f t="shared" si="27"/>
        <v>30927.03</v>
      </c>
      <c r="J19" s="6">
        <f t="shared" si="27"/>
        <v>19329.400000000001</v>
      </c>
      <c r="K19" s="6">
        <f t="shared" si="27"/>
        <v>19329.390000000003</v>
      </c>
      <c r="L19" s="6">
        <f t="shared" si="27"/>
        <v>19329.41</v>
      </c>
      <c r="M19" s="6">
        <f t="shared" si="27"/>
        <v>19329.45</v>
      </c>
    </row>
    <row r="20" spans="1:13" ht="15" customHeight="1" thickTop="1" x14ac:dyDescent="0.25"/>
    <row r="21" spans="1:13" ht="15" customHeight="1" x14ac:dyDescent="0.25">
      <c r="A21" s="7" t="s">
        <v>11</v>
      </c>
    </row>
  </sheetData>
  <mergeCells count="1">
    <mergeCell ref="A4:M4"/>
  </mergeCells>
  <pageMargins left="0.25" right="0.25" top="0.75" bottom="0.25" header="0.25" footer="0"/>
  <pageSetup scale="75" orientation="landscape" r:id="rId1"/>
  <headerFooter>
    <oddHeader>&amp;C&amp;"Arial,Italic"&amp;10GREENBRIER HISTORIC RESORT VIDEO LOTTERY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21"/>
  <sheetViews>
    <sheetView workbookViewId="0">
      <pane ySplit="3" topLeftCell="A4" activePane="bottomLeft" state="frozen"/>
      <selection pane="bottomLeft" activeCell="A18" sqref="A18"/>
    </sheetView>
  </sheetViews>
  <sheetFormatPr defaultRowHeight="15" customHeight="1" x14ac:dyDescent="0.25"/>
  <cols>
    <col min="1" max="1" width="15.7109375" customWidth="1"/>
    <col min="2" max="3" width="15" bestFit="1" customWidth="1"/>
    <col min="4" max="4" width="13.28515625" bestFit="1" customWidth="1"/>
    <col min="5" max="5" width="11.7109375" customWidth="1"/>
    <col min="6" max="6" width="14.85546875" customWidth="1"/>
    <col min="7" max="7" width="14.28515625" bestFit="1" customWidth="1"/>
    <col min="8" max="9" width="11.7109375" customWidth="1"/>
    <col min="10" max="10" width="13.7109375" bestFit="1" customWidth="1"/>
    <col min="11" max="11" width="11.7109375" customWidth="1"/>
    <col min="12" max="12" width="15.140625" bestFit="1" customWidth="1"/>
  </cols>
  <sheetData>
    <row r="1" spans="1:12" ht="45" x14ac:dyDescent="0.25">
      <c r="B1" s="2" t="s">
        <v>10</v>
      </c>
      <c r="C1" s="2" t="s">
        <v>2</v>
      </c>
      <c r="D1" s="2" t="s">
        <v>12</v>
      </c>
      <c r="E1" s="3" t="s">
        <v>4</v>
      </c>
      <c r="F1" s="2" t="s">
        <v>15</v>
      </c>
      <c r="G1" s="2" t="s">
        <v>3</v>
      </c>
      <c r="H1" s="2" t="s">
        <v>18</v>
      </c>
      <c r="I1" s="2" t="s">
        <v>5</v>
      </c>
      <c r="J1" s="2" t="s">
        <v>6</v>
      </c>
      <c r="K1" s="2" t="s">
        <v>7</v>
      </c>
      <c r="L1" s="2" t="s">
        <v>8</v>
      </c>
    </row>
    <row r="2" spans="1:12" ht="15" customHeight="1" x14ac:dyDescent="0.25">
      <c r="A2" s="4" t="s">
        <v>22</v>
      </c>
      <c r="B2" s="5">
        <v>6056562.2469999995</v>
      </c>
      <c r="C2" s="5">
        <v>1816968.68</v>
      </c>
      <c r="D2" s="5">
        <v>272545.31</v>
      </c>
      <c r="E2" s="5">
        <v>35854.909999999996</v>
      </c>
      <c r="F2" s="5">
        <v>1580278.2799999998</v>
      </c>
      <c r="G2" s="5">
        <v>1359039.26</v>
      </c>
      <c r="H2" s="5">
        <v>63211.139999999992</v>
      </c>
      <c r="I2" s="5">
        <v>39506.969999999994</v>
      </c>
      <c r="J2" s="5">
        <v>39506.97</v>
      </c>
      <c r="K2" s="5">
        <v>39506.979999999996</v>
      </c>
      <c r="L2" s="5">
        <v>39506.530000000006</v>
      </c>
    </row>
    <row r="4" spans="1:12" ht="15" customHeight="1" x14ac:dyDescent="0.25">
      <c r="A4" s="11" t="s">
        <v>23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6" spans="1:12" x14ac:dyDescent="0.25">
      <c r="A6" s="8" t="s">
        <v>21</v>
      </c>
      <c r="B6" s="5">
        <v>534511.75</v>
      </c>
      <c r="C6" s="5">
        <f>ROUND($B6*0.3,2)</f>
        <v>160353.53</v>
      </c>
      <c r="D6" s="5">
        <f t="shared" ref="D6:D17" si="0">ROUND($C6*0.15,2)</f>
        <v>24053.03</v>
      </c>
      <c r="E6" s="5">
        <v>2738.25</v>
      </c>
      <c r="F6" s="5">
        <f t="shared" ref="F6" si="1">C6-D6+E6</f>
        <v>139038.75</v>
      </c>
      <c r="G6" s="5">
        <f>ROUND($F6*0.86,2)-0.01</f>
        <v>119573.32</v>
      </c>
      <c r="H6" s="5">
        <f t="shared" ref="H6:H17" si="2">ROUND($F6*0.04,2)</f>
        <v>5561.55</v>
      </c>
      <c r="I6" s="5">
        <f t="shared" ref="I6:I17" si="3">ROUND($F6*0.025,2)</f>
        <v>3475.97</v>
      </c>
      <c r="J6" s="5">
        <f>ROUND($F6*0.025,2)-0.01</f>
        <v>3475.9599999999996</v>
      </c>
      <c r="K6" s="5">
        <f>ROUND($F6*0.025,2)+0.22</f>
        <v>3476.1899999999996</v>
      </c>
      <c r="L6" s="5">
        <f>ROUND($F6*0.025,2)+0.45</f>
        <v>3476.4199999999996</v>
      </c>
    </row>
    <row r="7" spans="1:12" ht="15" customHeight="1" x14ac:dyDescent="0.25">
      <c r="A7" s="8" t="s">
        <v>24</v>
      </c>
      <c r="B7" s="5">
        <v>393664.75</v>
      </c>
      <c r="C7" s="5">
        <f>ROUND($B7*0.3,2)</f>
        <v>118099.43</v>
      </c>
      <c r="D7" s="5">
        <f t="shared" si="0"/>
        <v>17714.91</v>
      </c>
      <c r="E7" s="5">
        <v>3043.01</v>
      </c>
      <c r="F7" s="5">
        <f t="shared" ref="F7" si="4">C7-D7+E7</f>
        <v>103427.52999999998</v>
      </c>
      <c r="G7" s="5">
        <f>ROUND($F7*0.86,2)-0.01</f>
        <v>88947.67</v>
      </c>
      <c r="H7" s="5">
        <f t="shared" si="2"/>
        <v>4137.1000000000004</v>
      </c>
      <c r="I7" s="5">
        <f t="shared" si="3"/>
        <v>2585.69</v>
      </c>
      <c r="J7" s="5">
        <f>ROUND($F7*0.025,2)+0.02</f>
        <v>2585.71</v>
      </c>
      <c r="K7" s="5">
        <f>ROUND($F7*0.025,2)-0.23</f>
        <v>2585.46</v>
      </c>
      <c r="L7" s="5">
        <f>ROUND($F7*0.025,2)+0.32</f>
        <v>2586.0100000000002</v>
      </c>
    </row>
    <row r="8" spans="1:12" ht="15" customHeight="1" x14ac:dyDescent="0.25">
      <c r="A8" s="4" t="str">
        <f>Summary!A11</f>
        <v>September 2024</v>
      </c>
      <c r="B8" s="5">
        <v>302878.5</v>
      </c>
      <c r="C8" s="5">
        <f>ROUND($B8*0.3,2)</f>
        <v>90863.55</v>
      </c>
      <c r="D8" s="5">
        <f t="shared" si="0"/>
        <v>13629.53</v>
      </c>
      <c r="E8" s="5">
        <v>2156.2399999999998</v>
      </c>
      <c r="F8" s="5">
        <f t="shared" ref="F8" si="5">C8-D8+E8</f>
        <v>79390.260000000009</v>
      </c>
      <c r="G8" s="5">
        <f>ROUND($F8*0.86,2)-0.01</f>
        <v>68275.61</v>
      </c>
      <c r="H8" s="5">
        <f t="shared" si="2"/>
        <v>3175.61</v>
      </c>
      <c r="I8" s="5">
        <f t="shared" si="3"/>
        <v>1984.76</v>
      </c>
      <c r="J8" s="5">
        <f>ROUND($F8*0.025,2)-0.03</f>
        <v>1984.73</v>
      </c>
      <c r="K8" s="5">
        <f>ROUND($F8*0.025,2)+0.15</f>
        <v>1984.91</v>
      </c>
      <c r="L8" s="5">
        <f>ROUND($F8*0.025,2)-0.45</f>
        <v>1984.31</v>
      </c>
    </row>
    <row r="9" spans="1:12" ht="15" customHeight="1" x14ac:dyDescent="0.25">
      <c r="A9" s="4" t="str">
        <f>Summary!A12</f>
        <v>October 2024</v>
      </c>
      <c r="B9" s="5">
        <v>254876.25</v>
      </c>
      <c r="C9" s="5">
        <f>ROUND($B9*0.3,2)</f>
        <v>76462.880000000005</v>
      </c>
      <c r="D9" s="5">
        <f t="shared" si="0"/>
        <v>11469.43</v>
      </c>
      <c r="E9" s="5">
        <v>2137.7399999999998</v>
      </c>
      <c r="F9" s="5">
        <f t="shared" ref="F9" si="6">C9-D9+E9</f>
        <v>67131.19</v>
      </c>
      <c r="G9" s="5">
        <f>ROUND($F9*0.86,2)</f>
        <v>57732.82</v>
      </c>
      <c r="H9" s="5">
        <f t="shared" si="2"/>
        <v>2685.25</v>
      </c>
      <c r="I9" s="5">
        <f t="shared" si="3"/>
        <v>1678.28</v>
      </c>
      <c r="J9" s="5">
        <f>ROUND($F9*0.025,2)+0.01</f>
        <v>1678.29</v>
      </c>
      <c r="K9" s="5">
        <f>ROUND($F9*0.025,2)-0.08</f>
        <v>1678.2</v>
      </c>
      <c r="L9" s="5">
        <f>ROUND($F9*0.025,2)-0.33</f>
        <v>1677.95</v>
      </c>
    </row>
    <row r="10" spans="1:12" ht="15" customHeight="1" x14ac:dyDescent="0.25">
      <c r="A10" s="4" t="str">
        <f>Summary!A13</f>
        <v>November 2024</v>
      </c>
      <c r="B10" s="5">
        <v>276365</v>
      </c>
      <c r="C10" s="5">
        <f>ROUND($B10*0.3,2)</f>
        <v>82909.5</v>
      </c>
      <c r="D10" s="5">
        <f t="shared" si="0"/>
        <v>12436.43</v>
      </c>
      <c r="E10" s="5">
        <v>2211</v>
      </c>
      <c r="F10" s="5">
        <f t="shared" ref="F10" si="7">C10-D10+E10</f>
        <v>72684.070000000007</v>
      </c>
      <c r="G10" s="5">
        <f>ROUND($F10*0.86,2)+0.01</f>
        <v>62508.310000000005</v>
      </c>
      <c r="H10" s="5">
        <f t="shared" si="2"/>
        <v>2907.36</v>
      </c>
      <c r="I10" s="5">
        <f t="shared" si="3"/>
        <v>1817.1</v>
      </c>
      <c r="J10" s="5">
        <f>ROUND($F10*0.025,2)</f>
        <v>1817.1</v>
      </c>
      <c r="K10" s="5">
        <f>ROUND($F10*0.025,2)+0.17</f>
        <v>1817.27</v>
      </c>
      <c r="L10" s="5">
        <f>ROUND($F10*0.025,2)+0.52</f>
        <v>1817.62</v>
      </c>
    </row>
    <row r="11" spans="1:12" ht="15" customHeight="1" x14ac:dyDescent="0.25">
      <c r="A11" s="4" t="s">
        <v>28</v>
      </c>
      <c r="B11" s="5">
        <v>706539</v>
      </c>
      <c r="C11" s="5">
        <f>ROUND($B11*0.3,2)+0.01</f>
        <v>211961.71000000002</v>
      </c>
      <c r="D11" s="5">
        <f t="shared" si="0"/>
        <v>31794.26</v>
      </c>
      <c r="E11" s="5">
        <v>2169.4</v>
      </c>
      <c r="F11" s="5">
        <f t="shared" ref="F11" si="8">C11-D11+E11</f>
        <v>182336.85</v>
      </c>
      <c r="G11" s="5">
        <f>ROUND($F11*0.86,2)+0.01</f>
        <v>156809.70000000001</v>
      </c>
      <c r="H11" s="5">
        <f t="shared" si="2"/>
        <v>7293.47</v>
      </c>
      <c r="I11" s="5">
        <f t="shared" si="3"/>
        <v>4558.42</v>
      </c>
      <c r="J11" s="5">
        <f>ROUND($F11*0.025,2)</f>
        <v>4558.42</v>
      </c>
      <c r="K11" s="5">
        <f>ROUND($F11*0.025,2)-0.18</f>
        <v>4558.24</v>
      </c>
      <c r="L11" s="5">
        <f>ROUND($F11*0.025,2)+0.46</f>
        <v>4558.88</v>
      </c>
    </row>
    <row r="12" spans="1:12" ht="15" customHeight="1" x14ac:dyDescent="0.25">
      <c r="A12" s="4" t="s">
        <v>29</v>
      </c>
      <c r="B12" s="5">
        <v>240541.75</v>
      </c>
      <c r="C12" s="5">
        <f>ROUND($B12*0.3,2)-0.01</f>
        <v>72162.52</v>
      </c>
      <c r="D12" s="5">
        <f t="shared" si="0"/>
        <v>10824.38</v>
      </c>
      <c r="E12" s="5">
        <v>2299.79</v>
      </c>
      <c r="F12" s="5">
        <f t="shared" ref="F12" si="9">C12-D12+E12</f>
        <v>63637.930000000008</v>
      </c>
      <c r="G12" s="5">
        <f>ROUND($F12*0.86,2)-0.01</f>
        <v>54728.61</v>
      </c>
      <c r="H12" s="5">
        <f t="shared" si="2"/>
        <v>2545.52</v>
      </c>
      <c r="I12" s="5">
        <f t="shared" si="3"/>
        <v>1590.95</v>
      </c>
      <c r="J12" s="5">
        <f>ROUND($F12*0.025,2)+0.01</f>
        <v>1590.96</v>
      </c>
      <c r="K12" s="5">
        <f>ROUND($F12*0.025,2)-0.01</f>
        <v>1590.94</v>
      </c>
      <c r="L12" s="5">
        <f>ROUND($F12*0.025,2)-0.73</f>
        <v>1590.22</v>
      </c>
    </row>
    <row r="13" spans="1:12" ht="15" customHeight="1" x14ac:dyDescent="0.25">
      <c r="A13" s="4" t="s">
        <v>30</v>
      </c>
      <c r="B13" s="5">
        <v>502629</v>
      </c>
      <c r="C13" s="5">
        <f>ROUND($B13*0.3,2)</f>
        <v>150788.70000000001</v>
      </c>
      <c r="D13" s="5">
        <f t="shared" si="0"/>
        <v>22618.31</v>
      </c>
      <c r="E13" s="5">
        <v>2050.6799999999998</v>
      </c>
      <c r="F13" s="5">
        <f t="shared" ref="F13" si="10">C13-D13+E13</f>
        <v>130221.07</v>
      </c>
      <c r="G13" s="5">
        <f>ROUND($F13*0.86,2)-0.01</f>
        <v>111990.11</v>
      </c>
      <c r="H13" s="5">
        <f t="shared" si="2"/>
        <v>5208.84</v>
      </c>
      <c r="I13" s="5">
        <f t="shared" si="3"/>
        <v>3255.53</v>
      </c>
      <c r="J13" s="5">
        <f>ROUND($F13*0.025,2)-0.01</f>
        <v>3255.52</v>
      </c>
      <c r="K13" s="5">
        <f>ROUND($F13*0.025,2)+0.04</f>
        <v>3255.57</v>
      </c>
      <c r="L13" s="5">
        <f>ROUND($F13*0.025,2)-0.05</f>
        <v>3255.48</v>
      </c>
    </row>
    <row r="14" spans="1:12" ht="15" customHeight="1" x14ac:dyDescent="0.25">
      <c r="A14" s="4" t="str">
        <f>Summary!A17</f>
        <v>March 2025</v>
      </c>
      <c r="B14" s="5">
        <v>334658.5</v>
      </c>
      <c r="C14" s="5">
        <f>ROUND($B14*0.3,2)</f>
        <v>100397.55</v>
      </c>
      <c r="D14" s="5">
        <f t="shared" si="0"/>
        <v>15059.63</v>
      </c>
      <c r="E14" s="5">
        <v>2266.25</v>
      </c>
      <c r="F14" s="5">
        <f t="shared" ref="F14" si="11">C14-D14+E14</f>
        <v>87604.17</v>
      </c>
      <c r="G14" s="5">
        <f>ROUND($F14*0.86,2)+0.01</f>
        <v>75339.599999999991</v>
      </c>
      <c r="H14" s="5">
        <f t="shared" si="2"/>
        <v>3504.17</v>
      </c>
      <c r="I14" s="5">
        <f t="shared" si="3"/>
        <v>2190.1</v>
      </c>
      <c r="J14" s="5">
        <f>ROUND($F14*0.025,2)-0.01</f>
        <v>2190.0899999999997</v>
      </c>
      <c r="K14" s="5">
        <f>ROUND($F14*0.025,2)+0.01</f>
        <v>2190.11</v>
      </c>
      <c r="L14" s="5">
        <f>ROUND($F14*0.025,2)+0.62</f>
        <v>2190.7199999999998</v>
      </c>
    </row>
    <row r="15" spans="1:12" ht="15" customHeight="1" x14ac:dyDescent="0.25">
      <c r="A15" s="4" t="str">
        <f>Summary!A18</f>
        <v>April 2025</v>
      </c>
      <c r="B15" s="5">
        <v>451778.75</v>
      </c>
      <c r="C15" s="5">
        <f>ROUND($B15*0.3,2)</f>
        <v>135533.63</v>
      </c>
      <c r="D15" s="5">
        <f t="shared" si="0"/>
        <v>20330.04</v>
      </c>
      <c r="E15" s="5">
        <v>2145.0300000000002</v>
      </c>
      <c r="F15" s="5">
        <f t="shared" ref="F15" si="12">C15-D15+E15</f>
        <v>117348.62</v>
      </c>
      <c r="G15" s="5">
        <f>ROUND($F15*0.86,2)-0.01</f>
        <v>100919.8</v>
      </c>
      <c r="H15" s="5">
        <f t="shared" si="2"/>
        <v>4693.9399999999996</v>
      </c>
      <c r="I15" s="5">
        <f t="shared" si="3"/>
        <v>2933.72</v>
      </c>
      <c r="J15" s="5">
        <f>ROUND($F15*0.025,2)+0.01</f>
        <v>2933.73</v>
      </c>
      <c r="K15" s="5">
        <f>ROUND($F15*0.025,2)-0.06</f>
        <v>2933.66</v>
      </c>
      <c r="L15" s="5">
        <f>ROUND($F15*0.025,2)-0.67</f>
        <v>2933.0499999999997</v>
      </c>
    </row>
    <row r="16" spans="1:12" ht="15" customHeight="1" x14ac:dyDescent="0.25">
      <c r="A16" s="4" t="str">
        <f>Summary!A19</f>
        <v>May 2025</v>
      </c>
      <c r="B16" s="5">
        <v>337970</v>
      </c>
      <c r="C16" s="5">
        <f>ROUND($B16*0.3,2)</f>
        <v>101391</v>
      </c>
      <c r="D16" s="5">
        <f t="shared" si="0"/>
        <v>15208.65</v>
      </c>
      <c r="E16" s="5">
        <v>1702.96</v>
      </c>
      <c r="F16" s="5">
        <f t="shared" ref="F16" si="13">C16-D16+E16</f>
        <v>87885.310000000012</v>
      </c>
      <c r="G16" s="5">
        <f>ROUND($F16*0.86,2)+0.01</f>
        <v>75581.37999999999</v>
      </c>
      <c r="H16" s="5">
        <f t="shared" si="2"/>
        <v>3515.41</v>
      </c>
      <c r="I16" s="5">
        <f t="shared" si="3"/>
        <v>2197.13</v>
      </c>
      <c r="J16" s="5">
        <f>ROUND($F16*0.025,2)-0.01</f>
        <v>2197.12</v>
      </c>
      <c r="K16" s="5">
        <f>ROUND($F16*0.025,2)+0.07</f>
        <v>2197.2000000000003</v>
      </c>
      <c r="L16" s="5">
        <f>ROUND($F16*0.025,2)+0.65</f>
        <v>2197.7800000000002</v>
      </c>
    </row>
    <row r="17" spans="1:12" ht="15" customHeight="1" x14ac:dyDescent="0.25">
      <c r="A17" s="4" t="str">
        <f>Summary!A20</f>
        <v>June 2025</v>
      </c>
      <c r="B17" s="5">
        <v>536984</v>
      </c>
      <c r="C17" s="5">
        <f>ROUND($B17*0.3,2)</f>
        <v>161095.20000000001</v>
      </c>
      <c r="D17" s="5">
        <f t="shared" si="0"/>
        <v>24164.28</v>
      </c>
      <c r="E17" s="5">
        <v>1488.54</v>
      </c>
      <c r="F17" s="5">
        <f t="shared" ref="F17" si="14">C17-D17+E17</f>
        <v>138419.46000000002</v>
      </c>
      <c r="G17" s="5">
        <f>ROUND($F17*0.86,2)-0.02</f>
        <v>119040.72</v>
      </c>
      <c r="H17" s="5">
        <f t="shared" si="2"/>
        <v>5536.78</v>
      </c>
      <c r="I17" s="5">
        <f t="shared" si="3"/>
        <v>3460.49</v>
      </c>
      <c r="J17" s="5">
        <f>ROUND($F17*0.025,2)</f>
        <v>3460.49</v>
      </c>
      <c r="K17" s="5">
        <f>ROUND($F17*0.025,2)-0.11</f>
        <v>3460.3799999999997</v>
      </c>
      <c r="L17" s="5">
        <f>ROUND($F17*0.025,2)-0.75</f>
        <v>3459.74</v>
      </c>
    </row>
    <row r="18" spans="1:12" ht="15" customHeight="1" x14ac:dyDescent="0.25">
      <c r="A18" s="8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</row>
    <row r="19" spans="1:12" ht="15" customHeight="1" thickBot="1" x14ac:dyDescent="0.3">
      <c r="B19" s="6">
        <f t="shared" ref="B19:L19" si="15">SUM(B6:B18)</f>
        <v>4873397.25</v>
      </c>
      <c r="C19" s="6">
        <f t="shared" si="15"/>
        <v>1462019.2</v>
      </c>
      <c r="D19" s="6">
        <f t="shared" si="15"/>
        <v>219302.88</v>
      </c>
      <c r="E19" s="6">
        <f t="shared" si="15"/>
        <v>26408.89</v>
      </c>
      <c r="F19" s="6">
        <f t="shared" si="15"/>
        <v>1269125.2100000002</v>
      </c>
      <c r="G19" s="6">
        <f t="shared" si="15"/>
        <v>1091447.6499999999</v>
      </c>
      <c r="H19" s="6">
        <f t="shared" si="15"/>
        <v>50765</v>
      </c>
      <c r="I19" s="6">
        <f t="shared" si="15"/>
        <v>31728.14</v>
      </c>
      <c r="J19" s="6">
        <f t="shared" si="15"/>
        <v>31728.119999999995</v>
      </c>
      <c r="K19" s="6">
        <f t="shared" si="15"/>
        <v>31728.13</v>
      </c>
      <c r="L19" s="6">
        <f t="shared" si="15"/>
        <v>31728.18</v>
      </c>
    </row>
    <row r="20" spans="1:12" ht="15" customHeight="1" thickTop="1" x14ac:dyDescent="0.25"/>
    <row r="21" spans="1:12" ht="15" customHeight="1" x14ac:dyDescent="0.25">
      <c r="A21" s="7" t="s">
        <v>11</v>
      </c>
    </row>
  </sheetData>
  <mergeCells count="1">
    <mergeCell ref="A4:L4"/>
  </mergeCells>
  <pageMargins left="0.25" right="0.25" top="0.75" bottom="0.25" header="0.25" footer="0"/>
  <pageSetup scale="81" orientation="landscape" r:id="rId1"/>
  <headerFooter>
    <oddHeader>&amp;C&amp;"Arial,Italic"&amp;10GREENBRIER HISTORIC RESORT TABLE GAMES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Summary</vt:lpstr>
      <vt:lpstr>Video Lottery</vt:lpstr>
      <vt:lpstr>Table Games</vt:lpstr>
      <vt:lpstr>Summary!Print_Area</vt:lpstr>
      <vt:lpstr>'Table Games'!Print_Area</vt:lpstr>
      <vt:lpstr>'Video Lottery'!Print_Area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2024-05-13T19:05:34Z</cp:lastPrinted>
  <dcterms:created xsi:type="dcterms:W3CDTF">2017-06-09T17:49:43Z</dcterms:created>
  <dcterms:modified xsi:type="dcterms:W3CDTF">2025-07-09T17:26:56Z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2024-09-06T15:17:02Z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083676fa-b439-4d81-ac98-3632d5fa5581</vt:lpwstr>
  </property>
  <property fmtid="{D5CDD505-2E9C-101B-9397-08002B2CF9AE}" pid="8" name="MSIP_Label_defa4170-0d19-0005-0004-bc88714345d2_ContentBits">
    <vt:lpwstr>0</vt:lpwstr>
  </property>
</Properties>
</file>